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Z_E3E01654_0376_44EA_B4AC_6620629DDDD5_.wvu.FilterData">Sheet1!$A$1:$AY$1000</definedName>
    <definedName hidden="1" localSheetId="0" name="Z_E3E01654_0376_44EA_B4AC_6620629DDDD5_.wvu.FilterData">Sheet1!$A$1:$AY$1000</definedName>
  </definedNames>
  <calcPr/>
  <customWorkbookViews>
    <customWorkbookView activeSheetId="0" maximized="1" tabRatio="600" windowHeight="0" windowWidth="0" guid="{E3E01654-0376-44EA-B4AC-6620629DDDD5}" name="Recherche"/>
  </customWorkbookViews>
</workbook>
</file>

<file path=xl/sharedStrings.xml><?xml version="1.0" encoding="utf-8"?>
<sst xmlns="http://schemas.openxmlformats.org/spreadsheetml/2006/main" count="4" uniqueCount="4">
  <si>
    <t>Approuve</t>
  </si>
  <si>
    <t>Original</t>
  </si>
  <si>
    <t>R</t>
  </si>
  <si>
    <t>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</si>
</sst>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3">
    <font>
      <sz val="10.0"/>
      <color rgb="FF000000"/>
      <name val="Arial"/>
    </font>
    <font>
      <color theme="1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14" xfId="0" applyFont="1" applyNumberFormat="1"/>
    <xf borderId="0" fillId="0" fontId="2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AQ5" displayName="Table_1" id="1">
  <tableColumns count="4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drive.google.com/open?id=1FxAHoVUjefsW25u7htXGRGxyE-g3fZrf" TargetMode="External"/><Relationship Id="rId22" Type="http://schemas.openxmlformats.org/officeDocument/2006/relationships/hyperlink" Target="https://drive.google.com/open?id=1ZA-v6Nd9CLyPUAFaY_pzEb9jLsypa7jR" TargetMode="External"/><Relationship Id="rId21" Type="http://schemas.openxmlformats.org/officeDocument/2006/relationships/hyperlink" Target="https://drive.google.com/open?id=1jLqbPf7KD5qqdKZN_iDcNkx7GHSnk-Bc" TargetMode="External"/><Relationship Id="rId24" Type="http://schemas.openxmlformats.org/officeDocument/2006/relationships/hyperlink" Target="https://drive.google.com/open?id=12UV0gDlK-ymgz49BWLWL_lsTRjtFazK6" TargetMode="External"/><Relationship Id="rId23" Type="http://schemas.openxmlformats.org/officeDocument/2006/relationships/hyperlink" Target="https://drive.google.com/open?id=16yGv4cdnHA6dz1u1sZzvvkB0Te2gjMc8" TargetMode="External"/><Relationship Id="rId1" Type="http://schemas.openxmlformats.org/officeDocument/2006/relationships/hyperlink" Target="https://drive.google.com/open?id=1Pt0M_SrHF17KIlshvBhbP7FbjZ3gIg9f" TargetMode="External"/><Relationship Id="rId2" Type="http://schemas.openxmlformats.org/officeDocument/2006/relationships/hyperlink" Target="https://drive.google.com/open?id=1sF-TVeACHcOODkhkK5ENWquKUeWVdS-X" TargetMode="External"/><Relationship Id="rId3" Type="http://schemas.openxmlformats.org/officeDocument/2006/relationships/hyperlink" Target="https://drive.google.com/open?id=1WnCCG9YIacAS1EFyIIOV5qw1llwCDUL3" TargetMode="External"/><Relationship Id="rId4" Type="http://schemas.openxmlformats.org/officeDocument/2006/relationships/hyperlink" Target="https://drive.google.com/open?id=1MIkdcHw76MnG7CH2l9p2n5cgFgha08nO" TargetMode="External"/><Relationship Id="rId9" Type="http://schemas.openxmlformats.org/officeDocument/2006/relationships/hyperlink" Target="https://drive.google.com/open?id=176eTKKFDbaWv2piG3C-Qh78mPux8etRQ" TargetMode="External"/><Relationship Id="rId26" Type="http://schemas.openxmlformats.org/officeDocument/2006/relationships/hyperlink" Target="https://drive.google.com/open?id=1v9IYI2lo2DRwHnNRgtHwL82MdGfIZthi" TargetMode="External"/><Relationship Id="rId25" Type="http://schemas.openxmlformats.org/officeDocument/2006/relationships/hyperlink" Target="https://drive.google.com/open?id=1xsZS_-gZyu_oyDMrLedxb3ALz3C7VLtf" TargetMode="External"/><Relationship Id="rId28" Type="http://schemas.openxmlformats.org/officeDocument/2006/relationships/hyperlink" Target="https://drive.google.com/open?id=1d93lcHfMVRtixl-yfpbvrsMLa5C2l7S2" TargetMode="External"/><Relationship Id="rId27" Type="http://schemas.openxmlformats.org/officeDocument/2006/relationships/hyperlink" Target="https://drive.google.com/open?id=1Te6mTRT94F4K-3UHXmh_dUP-XKDloqOS" TargetMode="External"/><Relationship Id="rId5" Type="http://schemas.openxmlformats.org/officeDocument/2006/relationships/hyperlink" Target="https://drive.google.com/open?id=1XQNf2SibgXHfFmYCijDZakO_630HYy3U" TargetMode="External"/><Relationship Id="rId6" Type="http://schemas.openxmlformats.org/officeDocument/2006/relationships/hyperlink" Target="https://drive.google.com/open?id=1NlBw2tBxMSssilqWa_VcXPX665rkvpDG" TargetMode="External"/><Relationship Id="rId29" Type="http://schemas.openxmlformats.org/officeDocument/2006/relationships/hyperlink" Target="https://drive.google.com/open?id=1hwFhHSRV4zQKO3TCoNbwdTuGErYmQn2W" TargetMode="External"/><Relationship Id="rId7" Type="http://schemas.openxmlformats.org/officeDocument/2006/relationships/hyperlink" Target="https://drive.google.com/open?id=11-UeCu5MItk9ilnUHGNuwq0c_mZ2gKx5" TargetMode="External"/><Relationship Id="rId8" Type="http://schemas.openxmlformats.org/officeDocument/2006/relationships/hyperlink" Target="https://drive.google.com/open?id=196rc58NyO2SZT2F-xR5sFBdwFpH-LWPx" TargetMode="External"/><Relationship Id="rId31" Type="http://schemas.openxmlformats.org/officeDocument/2006/relationships/hyperlink" Target="https://drive.google.com/open?id=1iU5Dj41Ij3ccqKjwO0zl3-e7QdzObZHK" TargetMode="External"/><Relationship Id="rId30" Type="http://schemas.openxmlformats.org/officeDocument/2006/relationships/hyperlink" Target="https://drive.google.com/open?id=1XDqDcoSbHRPRjOXMuGVe-Bi7e6DLXFtI" TargetMode="External"/><Relationship Id="rId11" Type="http://schemas.openxmlformats.org/officeDocument/2006/relationships/hyperlink" Target="https://drive.google.com/open?id=1f4YjFj4QC-CuFAHSfU0FBQI_QVmHps1c" TargetMode="External"/><Relationship Id="rId33" Type="http://schemas.openxmlformats.org/officeDocument/2006/relationships/hyperlink" Target="https://drive.google.com/open?id=1pU0keh8hGWyBnW_Mpgb88Z30He506tAg" TargetMode="External"/><Relationship Id="rId10" Type="http://schemas.openxmlformats.org/officeDocument/2006/relationships/hyperlink" Target="https://drive.google.com/open?id=1hj-Qk18Cs2D1By05EUh5yXUrkgNi9juT" TargetMode="External"/><Relationship Id="rId32" Type="http://schemas.openxmlformats.org/officeDocument/2006/relationships/hyperlink" Target="https://drive.google.com/open?id=1PIXggpOdTdI5CidPLMSjskbrhzb7wgKj" TargetMode="External"/><Relationship Id="rId13" Type="http://schemas.openxmlformats.org/officeDocument/2006/relationships/hyperlink" Target="https://drive.google.com/open?id=1U39D5gIZYALRLBODvDgTHjJw4WMHnKDH" TargetMode="External"/><Relationship Id="rId35" Type="http://schemas.openxmlformats.org/officeDocument/2006/relationships/hyperlink" Target="https://drive.google.com/open?id=1a8epqlLNVI-eMCDkZnV_8WGhn61w-Ljd" TargetMode="External"/><Relationship Id="rId12" Type="http://schemas.openxmlformats.org/officeDocument/2006/relationships/hyperlink" Target="https://drive.google.com/open?id=1AKKK_m0f1YZVvbR4dfCxSAc4cxxRyccz" TargetMode="External"/><Relationship Id="rId34" Type="http://schemas.openxmlformats.org/officeDocument/2006/relationships/hyperlink" Target="https://drive.google.com/open?id=1gAp4TB4_GZI1oLFI7yTfAK-Cvb_7LQoY" TargetMode="External"/><Relationship Id="rId15" Type="http://schemas.openxmlformats.org/officeDocument/2006/relationships/hyperlink" Target="https://drive.google.com/open?id=1tsLCT1s4YYi3CyNqxeJ9NIDGi-hd4fbc" TargetMode="External"/><Relationship Id="rId37" Type="http://schemas.openxmlformats.org/officeDocument/2006/relationships/drawing" Target="../drawings/drawing1.xml"/><Relationship Id="rId14" Type="http://schemas.openxmlformats.org/officeDocument/2006/relationships/hyperlink" Target="https://drive.google.com/open?id=1pwZIUtVfnnA02235IbBQi66iYBAK8xD5" TargetMode="External"/><Relationship Id="rId36" Type="http://schemas.openxmlformats.org/officeDocument/2006/relationships/hyperlink" Target="https://drive.google.com/open?id=19twRaPaKLqYlsaV07r6FLVIkgD7ZWi-W" TargetMode="External"/><Relationship Id="rId17" Type="http://schemas.openxmlformats.org/officeDocument/2006/relationships/hyperlink" Target="https://drive.google.com/open?id=16TAU9GtX2qrjzer1vXrn87Wm9y8bMXTe" TargetMode="External"/><Relationship Id="rId39" Type="http://schemas.openxmlformats.org/officeDocument/2006/relationships/table" Target="../tables/table1.xml"/><Relationship Id="rId16" Type="http://schemas.openxmlformats.org/officeDocument/2006/relationships/hyperlink" Target="https://drive.google.com/open?id=1rrdpmhcf8SWkWfw868nBjnbSCtrIgo6e" TargetMode="External"/><Relationship Id="rId19" Type="http://schemas.openxmlformats.org/officeDocument/2006/relationships/hyperlink" Target="https://drive.google.com/open?id=1vLKe5yKkZMVXlhDwL7N0YPk8509aAmKz" TargetMode="External"/><Relationship Id="rId18" Type="http://schemas.openxmlformats.org/officeDocument/2006/relationships/hyperlink" Target="https://drive.google.com/open?id=1AUmt7kC0wm5bjHqhD7QHUsF3VccH8w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30.43"/>
    <col customWidth="1" min="4" max="4" width="17.71"/>
    <col customWidth="1" min="6" max="6" width="34.71"/>
    <col customWidth="1" min="7" max="7" width="54.43"/>
    <col customWidth="1" min="8" max="8" width="21.0"/>
    <col customWidth="1" min="9" max="9" width="34.86"/>
    <col customWidth="1" min="10" max="10" width="38.0"/>
    <col customWidth="1" min="11" max="11" width="67.57"/>
    <col customWidth="1" min="12" max="12" width="23.29"/>
    <col customWidth="1" min="13" max="13" width="21.71"/>
    <col customWidth="1" min="14" max="14" width="18.43"/>
    <col customWidth="1" min="15" max="15" width="21.71"/>
    <col customWidth="1" min="16" max="16" width="18.43"/>
    <col customWidth="1" min="17" max="17" width="46.86"/>
    <col customWidth="1" min="18" max="18" width="25.29"/>
    <col customWidth="1" min="19" max="19" width="93.29"/>
    <col customWidth="1" min="20" max="20" width="102.14"/>
    <col customWidth="1" min="21" max="21" width="110.43"/>
    <col customWidth="1" min="22" max="22" width="70.86"/>
    <col customWidth="1" min="23" max="23" width="77.0"/>
    <col customWidth="1" min="24" max="24" width="115.14"/>
    <col customWidth="1" min="25" max="25" width="117.14"/>
    <col customWidth="1" min="26" max="26" width="44.71"/>
    <col customWidth="1" min="27" max="27" width="18.86"/>
    <col customWidth="1" min="28" max="28" width="46.71"/>
    <col customWidth="1" min="29" max="29" width="51.0"/>
    <col customWidth="1" min="30" max="30" width="58.57"/>
    <col customWidth="1" min="31" max="31" width="65.71"/>
    <col customWidth="1" min="32" max="32" width="98.14"/>
    <col customWidth="1" min="33" max="33" width="121.14"/>
    <col customWidth="1" min="34" max="34" width="115.14"/>
    <col customWidth="1" min="35" max="35" width="75.0"/>
    <col customWidth="1" min="36" max="36" width="81.71"/>
    <col customWidth="1" min="37" max="37" width="119.86"/>
    <col customWidth="1" min="38" max="38" width="121.86"/>
    <col customWidth="1" min="39" max="39" width="66.14"/>
    <col customWidth="1" min="40" max="40" width="71.43"/>
    <col customWidth="1" min="41" max="41" width="28.0"/>
  </cols>
  <sheetData>
    <row r="1">
      <c r="A1" s="1" t="str">
        <f>IFERROR(__xludf.DUMMYFUNCTION("Query(IMPORTRANGE(""https://docs.google.com/spreadsheets/d/1-I4eTF3OKmI9BcSYdUZkSnkaoh2mwL2ngRx2m9iW4XU/edit#gid=311660110"",""Form Responses 1!A1:AO2112""), ""WHERE Col5 = 'CEED'"",1)"),"Timestamp")</f>
        <v>Timestamp</v>
      </c>
      <c r="B1" s="1" t="str">
        <f>IFERROR(__xludf.DUMMYFUNCTION("""COMPUTED_VALUE"""),"Numéro d’étudiant/Student Number")</f>
        <v>Numéro d’étudiant/Student Number</v>
      </c>
      <c r="C1" s="1" t="str">
        <f>IFERROR(__xludf.DUMMYFUNCTION("""COMPUTED_VALUE"""),"Nom/Last Name ")</f>
        <v>Nom/Last Name </v>
      </c>
      <c r="D1" s="1" t="str">
        <f>IFERROR(__xludf.DUMMYFUNCTION("""COMPUTED_VALUE"""),"Prénom/First Name ")</f>
        <v>Prénom/First Name </v>
      </c>
      <c r="E1" s="1" t="str">
        <f>IFERROR(__xludf.DUMMYFUNCTION("""COMPUTED_VALUE"""),"Département")</f>
        <v>Département</v>
      </c>
      <c r="F1" s="1" t="str">
        <f>IFERROR(__xludf.DUMMYFUNCTION("""COMPUTED_VALUE"""),"Courriel du demandeur/Applicant's Email")</f>
        <v>Courriel du demandeur/Applicant's Email</v>
      </c>
      <c r="G1" s="1" t="str">
        <f>IFERROR(__xludf.DUMMYFUNCTION("""COMPUTED_VALUE"""),"Numéro de téléphone du laboratoire/Phone number of laboratory")</f>
        <v>Numéro de téléphone du laboratoire/Phone number of laboratory</v>
      </c>
      <c r="H1" s="1" t="str">
        <f>IFERROR(__xludf.DUMMYFUNCTION("""COMPUTED_VALUE"""),"Superviseur/Supervisor ")</f>
        <v>Superviseur/Supervisor </v>
      </c>
      <c r="I1" s="1" t="str">
        <f>IFERROR(__xludf.DUMMYFUNCTION("""COMPUTED_VALUE"""),"Courriel du superviseur/Supervisor Email")</f>
        <v>Courriel du superviseur/Supervisor Email</v>
      </c>
      <c r="J1" s="1" t="str">
        <f>IFERROR(__xludf.DUMMYFUNCTION("""COMPUTED_VALUE"""),"Statut d'emploi/Employement Status")</f>
        <v>Statut d'emploi/Employement Status</v>
      </c>
      <c r="K1" s="1" t="str">
        <f>IFERROR(__xludf.DUMMYFUNCTION("""COMPUTED_VALUE"""),"J'ai signé une renonciation ou preuve d'assurance/I have signed the waver forms")</f>
        <v>J'ai signé une renonciation ou preuve d'assurance/I have signed the waver forms</v>
      </c>
      <c r="L1" s="1" t="str">
        <f>IFERROR(__xludf.DUMMYFUNCTION("""COMPUTED_VALUE"""),"Engagement/Engagement ")</f>
        <v>Engagement/Engagement </v>
      </c>
      <c r="M1" s="1" t="str">
        <f>IFERROR(__xludf.DUMMYFUNCTION("""COMPUTED_VALUE"""),"Date de début/Start Date")</f>
        <v>Date de début/Start Date</v>
      </c>
      <c r="N1" s="1" t="str">
        <f>IFERROR(__xludf.DUMMYFUNCTION("""COMPUTED_VALUE"""),"Date de fin/End Date")</f>
        <v>Date de fin/End Date</v>
      </c>
      <c r="O1" s="1" t="str">
        <f>IFERROR(__xludf.DUMMYFUNCTION("""COMPUTED_VALUE"""),"Date de début/Start Date")</f>
        <v>Date de début/Start Date</v>
      </c>
      <c r="P1" s="1" t="str">
        <f>IFERROR(__xludf.DUMMYFUNCTION("""COMPUTED_VALUE"""),"Date de fin/End Date")</f>
        <v>Date de fin/End Date</v>
      </c>
      <c r="Q1" s="1" t="str">
        <f>IFERROR(__xludf.DUMMYFUNCTION("""COMPUTED_VALUE"""),"Nombre d'heures par semaine/Number of hours a week")</f>
        <v>Nombre d'heures par semaine/Number of hours a week</v>
      </c>
      <c r="R1" s="1" t="str">
        <f>IFERROR(__xludf.DUMMYFUNCTION("""COMPUTED_VALUE"""),"Date de retour?/Return date?")</f>
        <v>Date de retour?/Return date?</v>
      </c>
      <c r="S1" s="1" t="str">
        <f>IFERROR(__xludf.DUMMYFUNCTION("""COMPUTED_VALUE"""),"Formation de sécurité en laboratoire (CHG et CVG)/Completed my Laboratory Safety Training (CHG and CVG)?")</f>
        <v>Formation de sécurité en laboratoire (CHG et CVG)/Completed my Laboratory Safety Training (CHG and CVG)?</v>
      </c>
      <c r="T1" s="1" t="str">
        <f>IFERROR(__xludf.DUMMYFUNCTION("""COMPUTED_VALUE"""),"Formation de gestion de risque en laboratoire de génie (CVG et MCG)/Completed my Dry Lab Risk Management Training?")</f>
        <v>Formation de gestion de risque en laboratoire de génie (CVG et MCG)/Completed my Dry Lab Risk Management Training?</v>
      </c>
      <c r="U1" s="1" t="str">
        <f>IFERROR(__xludf.DUMMYFUNCTION("""COMPUTED_VALUE"""),"Formation de sensibilisation des travailleurs à la santé et à la sécurité/Completed my Worker Health and Safety Awareness Training?")</f>
        <v>Formation de sensibilisation des travailleurs à la santé et à la sécurité/Completed my Worker Health and Safety Awareness Training?</v>
      </c>
      <c r="V1" s="1" t="str">
        <f>IFERROR(__xludf.DUMMYFUNCTION("""COMPUTED_VALUE"""),"Formation de prévention de la violence/Completed my Violence Prevention Training?")</f>
        <v>Formation de prévention de la violence/Completed my Violence Prevention Training?</v>
      </c>
      <c r="W1" s="1" t="str">
        <f>IFERROR(__xludf.DUMMYFUNCTION("""COMPUTED_VALUE"""),"Formation de respect en milieu de travail/Completed my Respect in the Workplace Training?")</f>
        <v>Formation de respect en milieu de travail/Completed my Respect in the Workplace Training?</v>
      </c>
      <c r="X1" s="1" t="str">
        <f>IFERROR(__xludf.DUMMYFUNCTION("""COMPUTED_VALUE"""),"Formation de normes d'accessibilité pour les services à la clientèle/Completed my Accessibility Standards for Customers Service Training?")</f>
        <v>Formation de normes d'accessibilité pour les services à la clientèle/Completed my Accessibility Standards for Customers Service Training?</v>
      </c>
      <c r="Y1" s="1" t="str">
        <f>IFERROR(__xludf.DUMMYFUNCTION("""COMPUTED_VALUE"""),"Formation du Code des droits de la personne de l'Ontario et la LAPHO/Completed my Working Together: The Code and The AODA Training?")</f>
        <v>Formation du Code des droits de la personne de l'Ontario et la LAPHO/Completed my Working Together: The Code and The AODA Training?</v>
      </c>
      <c r="Z1" s="1" t="str">
        <f>IFERROR(__xludf.DUMMYFUNCTION("""COMPUTED_VALUE"""),"Formation SIMDUT/Completed my WHMIS Training?")</f>
        <v>Formation SIMDUT/Completed my WHMIS Training?</v>
      </c>
      <c r="AA1" s="1" t="str">
        <f>IFERROR(__xludf.DUMMYFUNCTION("""COMPUTED_VALUE"""),"Pièce/Room Number ")</f>
        <v>Pièce/Room Number </v>
      </c>
      <c r="AB1" s="1" t="str">
        <f>IFERROR(__xludf.DUMMYFUNCTION("""COMPUTED_VALUE"""),"Dépot voulu/Wanted Deposit")</f>
        <v>Dépot voulu/Wanted Deposit</v>
      </c>
      <c r="AC1" s="1" t="str">
        <f>IFERROR(__xludf.DUMMYFUNCTION("""COMPUTED_VALUE"""),"Numéro de la hotte (si nécessaire)/Hood Number (if needed)")</f>
        <v>Numéro de la hotte (si nécessaire)/Hood Number (if needed)</v>
      </c>
      <c r="AD1" s="1" t="str">
        <f>IFERROR(__xludf.DUMMYFUNCTION("""COMPUTED_VALUE"""),"Numéro du microscope (si nécessaire)/Microsope Number (if needed)")</f>
        <v>Numéro du microscope (si nécessaire)/Microsope Number (if needed)</v>
      </c>
      <c r="AE1" s="1" t="str">
        <f>IFERROR(__xludf.DUMMYFUNCTION("""COMPUTED_VALUE"""),"Preuve formation SIMDUT/Completed my WHMIS Training")</f>
        <v>Preuve formation SIMDUT/Completed my WHMIS Training</v>
      </c>
      <c r="AF1" s="1" t="str">
        <f>IFERROR(__xludf.DUMMYFUNCTION("""COMPUTED_VALUE"""),"Preuve formation de sécurité en laboratoire (CHG et CVG)/Completed my Laboratory Safety Training (CHG and CVG)")</f>
        <v>Preuve formation de sécurité en laboratoire (CHG et CVG)/Completed my Laboratory Safety Training (CHG and CVG)</v>
      </c>
      <c r="AG1" s="1" t="str">
        <f>IFERROR(__xludf.DUMMYFUNCTION("""COMPUTED_VALUE"""),"Preuve formation de gestion de risque en laboratoire de génie (CVG et MCG)/Completed my Dry Lab Risk Management Training (CVG and MCG)")</f>
        <v>Preuve formation de gestion de risque en laboratoire de génie (CVG et MCG)/Completed my Dry Lab Risk Management Training (CVG and MCG)</v>
      </c>
      <c r="AH1" s="1" t="str">
        <f>IFERROR(__xludf.DUMMYFUNCTION("""COMPUTED_VALUE"""),"Preuve formation de sensibilisation des travailleurs à la santé et à la sécurité/Completed my Worker Health and Safety Awareness Training")</f>
        <v>Preuve formation de sensibilisation des travailleurs à la santé et à la sécurité/Completed my Worker Health and Safety Awareness Training</v>
      </c>
      <c r="AI1" s="1" t="str">
        <f>IFERROR(__xludf.DUMMYFUNCTION("""COMPUTED_VALUE"""),"Preuve ormation de prévention de la violence/Completed my Violence Prevention Training")</f>
        <v>Preuve ormation de prévention de la violence/Completed my Violence Prevention Training</v>
      </c>
      <c r="AJ1" s="1" t="str">
        <f>IFERROR(__xludf.DUMMYFUNCTION("""COMPUTED_VALUE"""),"Preuve formation de respect en milieu de travail/Completed my Respect in the Workplace Training")</f>
        <v>Preuve formation de respect en milieu de travail/Completed my Respect in the Workplace Training</v>
      </c>
      <c r="AK1" s="1" t="str">
        <f>IFERROR(__xludf.DUMMYFUNCTION("""COMPUTED_VALUE"""),"Preuve formation de normes d'accessibilité pour les services à la clientèle/Completed my Accessibility Standards for Customers Service Training")</f>
        <v>Preuve formation de normes d'accessibilité pour les services à la clientèle/Completed my Accessibility Standards for Customers Service Training</v>
      </c>
      <c r="AL1" s="1" t="str">
        <f>IFERROR(__xludf.DUMMYFUNCTION("""COMPUTED_VALUE"""),"Preuve formation du Code des droits de la personne de l'Ontario et la LAPHO/Completed my Working Together: The Code and The AODA Training")</f>
        <v>Preuve formation du Code des droits de la personne de l'Ontario et la LAPHO/Completed my Working Together: The Code and The AODA Training</v>
      </c>
      <c r="AM1" s="1" t="str">
        <f>IFERROR(__xludf.DUMMYFUNCTION("""COMPUTED_VALUE"""),"Preuve une renonciation ou preuve d'assurance/I have signed the waver forms")</f>
        <v>Preuve une renonciation ou preuve d'assurance/I have signed the waver forms</v>
      </c>
      <c r="AN1" s="1" t="str">
        <f>IFERROR(__xludf.DUMMYFUNCTION("""COMPUTED_VALUE"""),"Template 1 - Send Status")</f>
        <v>Template 1 - Send Status</v>
      </c>
      <c r="AO1" s="1" t="str">
        <f>IFERROR(__xludf.DUMMYFUNCTION("""COMPUTED_VALUE"""),"Aprobation de la demande départements (O/N)")</f>
        <v>Aprobation de la demande départements (O/N)</v>
      </c>
      <c r="AP1" s="1"/>
      <c r="AQ1" s="1"/>
    </row>
    <row r="2">
      <c r="A2" s="2">
        <f>IFERROR(__xludf.DUMMYFUNCTION("""COMPUTED_VALUE"""),44270.50554439815)</f>
        <v>44270.50554</v>
      </c>
      <c r="B2" s="1">
        <f>IFERROR(__xludf.DUMMYFUNCTION("""COMPUTED_VALUE"""),3.00675645E8)</f>
        <v>300675645</v>
      </c>
      <c r="C2" s="1" t="str">
        <f>IFERROR(__xludf.DUMMYFUNCTION("""COMPUTED_VALUE"""),"Dover")</f>
        <v>Dover</v>
      </c>
      <c r="D2" s="1" t="str">
        <f>IFERROR(__xludf.DUMMYFUNCTION("""COMPUTED_VALUE"""),"Ben")</f>
        <v>Ben</v>
      </c>
      <c r="E2" s="1" t="str">
        <f>IFERROR(__xludf.DUMMYFUNCTION("""COMPUTED_VALUE"""),"CEED")</f>
        <v>CEED</v>
      </c>
      <c r="F2" s="1" t="str">
        <f>IFERROR(__xludf.DUMMYFUNCTION("""COMPUTED_VALUE"""),"123@456.ca")</f>
        <v>123@456.ca</v>
      </c>
      <c r="G2" s="1" t="str">
        <f>IFERROR(__xludf.DUMMYFUNCTION("""COMPUTED_VALUE"""),"819 696 9696")</f>
        <v>819 696 9696</v>
      </c>
      <c r="H2" s="1" t="str">
        <f>IFERROR(__xludf.DUMMYFUNCTION("""COMPUTED_VALUE"""),"bob")</f>
        <v>bob</v>
      </c>
      <c r="I2" s="1" t="str">
        <f>IFERROR(__xludf.DUMMYFUNCTION("""COMPUTED_VALUE"""),"bob@1234.ca")</f>
        <v>bob@1234.ca</v>
      </c>
      <c r="J2" s="1" t="str">
        <f>IFERROR(__xludf.DUMMYFUNCTION("""COMPUTED_VALUE"""),"Étudiant de 1er cycle/Undergraduate student")</f>
        <v>Étudiant de 1er cycle/Undergraduate student</v>
      </c>
      <c r="K2" s="1" t="str">
        <f>IFERROR(__xludf.DUMMYFUNCTION("""COMPUTED_VALUE"""),"Oui/Yes")</f>
        <v>Oui/Yes</v>
      </c>
      <c r="L2" s="1" t="str">
        <f>IFERROR(__xludf.DUMMYFUNCTION("""COMPUTED_VALUE"""),"Temps plein/Full Time")</f>
        <v>Temps plein/Full Time</v>
      </c>
      <c r="M2" s="3">
        <f>IFERROR(__xludf.DUMMYFUNCTION("""COMPUTED_VALUE"""),44273.0)</f>
        <v>44273</v>
      </c>
      <c r="N2" s="3">
        <f>IFERROR(__xludf.DUMMYFUNCTION("""COMPUTED_VALUE"""),44323.0)</f>
        <v>44323</v>
      </c>
      <c r="O2" s="3"/>
      <c r="P2" s="3"/>
      <c r="Q2" s="1"/>
      <c r="R2" s="3">
        <f>IFERROR(__xludf.DUMMYFUNCTION("""COMPUTED_VALUE"""),44281.0)</f>
        <v>44281</v>
      </c>
      <c r="S2" s="1" t="str">
        <f>IFERROR(__xludf.DUMMYFUNCTION("""COMPUTED_VALUE"""),"Oui/Yes")</f>
        <v>Oui/Yes</v>
      </c>
      <c r="T2" s="1" t="str">
        <f>IFERROR(__xludf.DUMMYFUNCTION("""COMPUTED_VALUE"""),"Oui/Yes")</f>
        <v>Oui/Yes</v>
      </c>
      <c r="U2" s="1" t="str">
        <f>IFERROR(__xludf.DUMMYFUNCTION("""COMPUTED_VALUE"""),"Oui/Yes")</f>
        <v>Oui/Yes</v>
      </c>
      <c r="V2" s="1" t="str">
        <f>IFERROR(__xludf.DUMMYFUNCTION("""COMPUTED_VALUE"""),"Oui/Yes")</f>
        <v>Oui/Yes</v>
      </c>
      <c r="W2" s="1" t="str">
        <f>IFERROR(__xludf.DUMMYFUNCTION("""COMPUTED_VALUE"""),"Oui/Yes")</f>
        <v>Oui/Yes</v>
      </c>
      <c r="X2" s="1" t="str">
        <f>IFERROR(__xludf.DUMMYFUNCTION("""COMPUTED_VALUE"""),"Oui/Yes")</f>
        <v>Oui/Yes</v>
      </c>
      <c r="Y2" s="1" t="str">
        <f>IFERROR(__xludf.DUMMYFUNCTION("""COMPUTED_VALUE"""),"Oui/Yes")</f>
        <v>Oui/Yes</v>
      </c>
      <c r="Z2" s="1" t="str">
        <f>IFERROR(__xludf.DUMMYFUNCTION("""COMPUTED_VALUE"""),"Oui/Yes")</f>
        <v>Oui/Yes</v>
      </c>
      <c r="AA2" s="1" t="str">
        <f>IFERROR(__xludf.DUMMYFUNCTION("""COMPUTED_VALUE"""),"69")</f>
        <v>69</v>
      </c>
      <c r="AB2" s="1" t="str">
        <f>IFERROR(__xludf.DUMMYFUNCTION("""COMPUTED_VALUE"""),"Dépot de clé/Key Deposit")</f>
        <v>Dépot de clé/Key Deposit</v>
      </c>
      <c r="AC2" s="1"/>
      <c r="AD2" s="1"/>
      <c r="AE2" s="4" t="str">
        <f>IFERROR(__xludf.DUMMYFUNCTION("""COMPUTED_VALUE"""),"https://drive.google.com/open?id=1Pt0M_SrHF17KIlshvBhbP7FbjZ3gIg9f")</f>
        <v>https://drive.google.com/open?id=1Pt0M_SrHF17KIlshvBhbP7FbjZ3gIg9f</v>
      </c>
      <c r="AF2" s="4" t="str">
        <f>IFERROR(__xludf.DUMMYFUNCTION("""COMPUTED_VALUE"""),"https://drive.google.com/open?id=1sF-TVeACHcOODkhkK5ENWquKUeWVdS-X")</f>
        <v>https://drive.google.com/open?id=1sF-TVeACHcOODkhkK5ENWquKUeWVdS-X</v>
      </c>
      <c r="AG2" s="4" t="str">
        <f>IFERROR(__xludf.DUMMYFUNCTION("""COMPUTED_VALUE"""),"https://drive.google.com/open?id=1WnCCG9YIacAS1EFyIIOV5qw1llwCDUL3")</f>
        <v>https://drive.google.com/open?id=1WnCCG9YIacAS1EFyIIOV5qw1llwCDUL3</v>
      </c>
      <c r="AH2" s="4" t="str">
        <f>IFERROR(__xludf.DUMMYFUNCTION("""COMPUTED_VALUE"""),"https://drive.google.com/open?id=1MIkdcHw76MnG7CH2l9p2n5cgFgha08nO")</f>
        <v>https://drive.google.com/open?id=1MIkdcHw76MnG7CH2l9p2n5cgFgha08nO</v>
      </c>
      <c r="AI2" s="4" t="str">
        <f>IFERROR(__xludf.DUMMYFUNCTION("""COMPUTED_VALUE"""),"https://drive.google.com/open?id=1XQNf2SibgXHfFmYCijDZakO_630HYy3U")</f>
        <v>https://drive.google.com/open?id=1XQNf2SibgXHfFmYCijDZakO_630HYy3U</v>
      </c>
      <c r="AJ2" s="4" t="str">
        <f>IFERROR(__xludf.DUMMYFUNCTION("""COMPUTED_VALUE"""),"https://drive.google.com/open?id=1NlBw2tBxMSssilqWa_VcXPX665rkvpDG")</f>
        <v>https://drive.google.com/open?id=1NlBw2tBxMSssilqWa_VcXPX665rkvpDG</v>
      </c>
      <c r="AK2" s="4" t="str">
        <f>IFERROR(__xludf.DUMMYFUNCTION("""COMPUTED_VALUE"""),"https://drive.google.com/open?id=11-UeCu5MItk9ilnUHGNuwq0c_mZ2gKx5")</f>
        <v>https://drive.google.com/open?id=11-UeCu5MItk9ilnUHGNuwq0c_mZ2gKx5</v>
      </c>
      <c r="AL2" s="4" t="str">
        <f>IFERROR(__xludf.DUMMYFUNCTION("""COMPUTED_VALUE"""),"https://drive.google.com/open?id=196rc58NyO2SZT2F-xR5sFBdwFpH-LWPx")</f>
        <v>https://drive.google.com/open?id=196rc58NyO2SZT2F-xR5sFBdwFpH-LWPx</v>
      </c>
      <c r="AM2" s="4" t="str">
        <f>IFERROR(__xludf.DUMMYFUNCTION("""COMPUTED_VALUE"""),"https://drive.google.com/open?id=176eTKKFDbaWv2piG3C-Qh78mPux8etRQ")</f>
        <v>https://drive.google.com/open?id=176eTKKFDbaWv2piG3C-Qh78mPux8etRQ</v>
      </c>
      <c r="AN2" s="1" t="str">
        <f>IFERROR(__xludf.DUMMYFUNCTION("""COMPUTED_VALUE"""),"3/15/2021 12:37:02, email sent from kharb044@uottawa.ca to bob@1234.ca")</f>
        <v>3/15/2021 12:37:02, email sent from kharb044@uottawa.ca to bob@1234.ca</v>
      </c>
      <c r="AO2" s="1" t="str">
        <f>IFERROR(__xludf.DUMMYFUNCTION("""COMPUTED_VALUE"""),"O")</f>
        <v>O</v>
      </c>
      <c r="AP2" s="5" t="s">
        <v>0</v>
      </c>
      <c r="AQ2" s="1" t="str">
        <f>IFERROR(__xludf.DUMMYFUNCTION("IMPORTRANGE(""https://docs.google.com/spreadsheets/d/19Zcva_Y6zevuZD4Yi1mEeMVUK2_l_sDvMY2qpY4x9iI/edit#gid=0"",""Sheet1!AP""&amp;MATCH(B2,Sheet1!$B$1:$B$17,0)&amp; "":AP""&amp;MATCH(Sheet1!B2,Sheet1!$B$1:$B$17,0))"),"Approuve")</f>
        <v>Approuve</v>
      </c>
    </row>
    <row r="3">
      <c r="A3" s="2">
        <f>IFERROR(__xludf.DUMMYFUNCTION("""COMPUTED_VALUE"""),44270.51186587963)</f>
        <v>44270.51187</v>
      </c>
      <c r="B3" s="1">
        <f>IFERROR(__xludf.DUMMYFUNCTION("""COMPUTED_VALUE"""),3.00696969E8)</f>
        <v>300696969</v>
      </c>
      <c r="C3" s="1" t="str">
        <f>IFERROR(__xludf.DUMMYFUNCTION("""COMPUTED_VALUE"""),"Pablo")</f>
        <v>Pablo</v>
      </c>
      <c r="D3" s="1" t="str">
        <f>IFERROR(__xludf.DUMMYFUNCTION("""COMPUTED_VALUE"""),"Escobar")</f>
        <v>Escobar</v>
      </c>
      <c r="E3" s="1" t="str">
        <f>IFERROR(__xludf.DUMMYFUNCTION("""COMPUTED_VALUE"""),"CEED")</f>
        <v>CEED</v>
      </c>
      <c r="F3" s="1" t="str">
        <f>IFERROR(__xludf.DUMMYFUNCTION("""COMPUTED_VALUE"""),"pablo@outlook.com")</f>
        <v>pablo@outlook.com</v>
      </c>
      <c r="G3" s="1" t="str">
        <f>IFERROR(__xludf.DUMMYFUNCTION("""COMPUTED_VALUE"""),"819 696 9696")</f>
        <v>819 696 9696</v>
      </c>
      <c r="H3" s="1" t="str">
        <f>IFERROR(__xludf.DUMMYFUNCTION("""COMPUTED_VALUE"""),"bob marley")</f>
        <v>bob marley</v>
      </c>
      <c r="I3" s="1" t="str">
        <f>IFERROR(__xludf.DUMMYFUNCTION("""COMPUTED_VALUE"""),"lkana074@uottawa.ca")</f>
        <v>lkana074@uottawa.ca</v>
      </c>
      <c r="J3" s="1" t="str">
        <f>IFERROR(__xludf.DUMMYFUNCTION("""COMPUTED_VALUE"""),"Employé de uOttawa/uOttawa employee")</f>
        <v>Employé de uOttawa/uOttawa employee</v>
      </c>
      <c r="K3" s="1" t="str">
        <f>IFERROR(__xludf.DUMMYFUNCTION("""COMPUTED_VALUE"""),"Oui/Yes")</f>
        <v>Oui/Yes</v>
      </c>
      <c r="L3" s="1" t="str">
        <f>IFERROR(__xludf.DUMMYFUNCTION("""COMPUTED_VALUE"""),"Temps partiel/Part Time")</f>
        <v>Temps partiel/Part Time</v>
      </c>
      <c r="M3" s="3"/>
      <c r="N3" s="3"/>
      <c r="O3" s="3">
        <f>IFERROR(__xludf.DUMMYFUNCTION("""COMPUTED_VALUE"""),44288.0)</f>
        <v>44288</v>
      </c>
      <c r="P3" s="3">
        <f>IFERROR(__xludf.DUMMYFUNCTION("""COMPUTED_VALUE"""),44341.0)</f>
        <v>44341</v>
      </c>
      <c r="Q3" s="1" t="str">
        <f>IFERROR(__xludf.DUMMYFUNCTION("""COMPUTED_VALUE"""),"moins de 10 heures/less then 10 hours")</f>
        <v>moins de 10 heures/less then 10 hours</v>
      </c>
      <c r="R3" s="3">
        <f>IFERROR(__xludf.DUMMYFUNCTION("""COMPUTED_VALUE"""),44292.0)</f>
        <v>44292</v>
      </c>
      <c r="S3" s="1" t="str">
        <f>IFERROR(__xludf.DUMMYFUNCTION("""COMPUTED_VALUE"""),"Oui/Yes")</f>
        <v>Oui/Yes</v>
      </c>
      <c r="T3" s="1" t="str">
        <f>IFERROR(__xludf.DUMMYFUNCTION("""COMPUTED_VALUE"""),"Oui/Yes")</f>
        <v>Oui/Yes</v>
      </c>
      <c r="U3" s="1" t="str">
        <f>IFERROR(__xludf.DUMMYFUNCTION("""COMPUTED_VALUE"""),"Oui/Yes")</f>
        <v>Oui/Yes</v>
      </c>
      <c r="V3" s="1" t="str">
        <f>IFERROR(__xludf.DUMMYFUNCTION("""COMPUTED_VALUE"""),"Oui/Yes")</f>
        <v>Oui/Yes</v>
      </c>
      <c r="W3" s="1" t="str">
        <f>IFERROR(__xludf.DUMMYFUNCTION("""COMPUTED_VALUE"""),"Oui/Yes")</f>
        <v>Oui/Yes</v>
      </c>
      <c r="X3" s="1" t="str">
        <f>IFERROR(__xludf.DUMMYFUNCTION("""COMPUTED_VALUE"""),"Oui/Yes")</f>
        <v>Oui/Yes</v>
      </c>
      <c r="Y3" s="1" t="str">
        <f>IFERROR(__xludf.DUMMYFUNCTION("""COMPUTED_VALUE"""),"Oui/Yes")</f>
        <v>Oui/Yes</v>
      </c>
      <c r="Z3" s="1" t="str">
        <f>IFERROR(__xludf.DUMMYFUNCTION("""COMPUTED_VALUE"""),"Oui/Yes")</f>
        <v>Oui/Yes</v>
      </c>
      <c r="AA3" s="1" t="str">
        <f>IFERROR(__xludf.DUMMYFUNCTION("""COMPUTED_VALUE"""),"CVG 213")</f>
        <v>CVG 213</v>
      </c>
      <c r="AB3" s="1" t="str">
        <f>IFERROR(__xludf.DUMMYFUNCTION("""COMPUTED_VALUE"""),"Dépot de clé/Key Deposit")</f>
        <v>Dépot de clé/Key Deposit</v>
      </c>
      <c r="AC3" s="1" t="str">
        <f>IFERROR(__xludf.DUMMYFUNCTION("""COMPUTED_VALUE"""),"r")</f>
        <v>r</v>
      </c>
      <c r="AD3" s="1" t="str">
        <f>IFERROR(__xludf.DUMMYFUNCTION("""COMPUTED_VALUE"""),"er")</f>
        <v>er</v>
      </c>
      <c r="AE3" s="4" t="str">
        <f>IFERROR(__xludf.DUMMYFUNCTION("""COMPUTED_VALUE"""),"https://drive.google.com/open?id=1hj-Qk18Cs2D1By05EUh5yXUrkgNi9juT")</f>
        <v>https://drive.google.com/open?id=1hj-Qk18Cs2D1By05EUh5yXUrkgNi9juT</v>
      </c>
      <c r="AF3" s="4" t="str">
        <f>IFERROR(__xludf.DUMMYFUNCTION("""COMPUTED_VALUE"""),"https://drive.google.com/open?id=1f4YjFj4QC-CuFAHSfU0FBQI_QVmHps1c")</f>
        <v>https://drive.google.com/open?id=1f4YjFj4QC-CuFAHSfU0FBQI_QVmHps1c</v>
      </c>
      <c r="AG3" s="4" t="str">
        <f>IFERROR(__xludf.DUMMYFUNCTION("""COMPUTED_VALUE"""),"https://drive.google.com/open?id=1AKKK_m0f1YZVvbR4dfCxSAc4cxxRyccz")</f>
        <v>https://drive.google.com/open?id=1AKKK_m0f1YZVvbR4dfCxSAc4cxxRyccz</v>
      </c>
      <c r="AH3" s="4" t="str">
        <f>IFERROR(__xludf.DUMMYFUNCTION("""COMPUTED_VALUE"""),"https://drive.google.com/open?id=1U39D5gIZYALRLBODvDgTHjJw4WMHnKDH")</f>
        <v>https://drive.google.com/open?id=1U39D5gIZYALRLBODvDgTHjJw4WMHnKDH</v>
      </c>
      <c r="AI3" s="4" t="str">
        <f>IFERROR(__xludf.DUMMYFUNCTION("""COMPUTED_VALUE"""),"https://drive.google.com/open?id=1pwZIUtVfnnA02235IbBQi66iYBAK8xD5")</f>
        <v>https://drive.google.com/open?id=1pwZIUtVfnnA02235IbBQi66iYBAK8xD5</v>
      </c>
      <c r="AJ3" s="4" t="str">
        <f>IFERROR(__xludf.DUMMYFUNCTION("""COMPUTED_VALUE"""),"https://drive.google.com/open?id=1tsLCT1s4YYi3CyNqxeJ9NIDGi-hd4fbc")</f>
        <v>https://drive.google.com/open?id=1tsLCT1s4YYi3CyNqxeJ9NIDGi-hd4fbc</v>
      </c>
      <c r="AK3" s="4" t="str">
        <f>IFERROR(__xludf.DUMMYFUNCTION("""COMPUTED_VALUE"""),"https://drive.google.com/open?id=1rrdpmhcf8SWkWfw868nBjnbSCtrIgo6e")</f>
        <v>https://drive.google.com/open?id=1rrdpmhcf8SWkWfw868nBjnbSCtrIgo6e</v>
      </c>
      <c r="AL3" s="4" t="str">
        <f>IFERROR(__xludf.DUMMYFUNCTION("""COMPUTED_VALUE"""),"https://drive.google.com/open?id=16TAU9GtX2qrjzer1vXrn87Wm9y8bMXTe")</f>
        <v>https://drive.google.com/open?id=16TAU9GtX2qrjzer1vXrn87Wm9y8bMXTe</v>
      </c>
      <c r="AM3" s="4" t="str">
        <f>IFERROR(__xludf.DUMMYFUNCTION("""COMPUTED_VALUE"""),"https://drive.google.com/open?id=1AUmt7kC0wm5bjHqhD7QHUsF3VccH8wIS")</f>
        <v>https://drive.google.com/open?id=1AUmt7kC0wm5bjHqhD7QHUsF3VccH8wIS</v>
      </c>
      <c r="AN3" s="1" t="str">
        <f>IFERROR(__xludf.DUMMYFUNCTION("""COMPUTED_VALUE"""),"3/15/2021 12:37:05, email sent from kharb044@uottawa.ca to lkana074@uottawa.ca")</f>
        <v>3/15/2021 12:37:05, email sent from kharb044@uottawa.ca to lkana074@uottawa.ca</v>
      </c>
      <c r="AO3" s="1" t="str">
        <f>IFERROR(__xludf.DUMMYFUNCTION("""COMPUTED_VALUE"""),"N")</f>
        <v>N</v>
      </c>
      <c r="AP3" s="5" t="s">
        <v>1</v>
      </c>
      <c r="AQ3" s="1" t="str">
        <f>IFERROR(__xludf.DUMMYFUNCTION("IMPORTRANGE(""https://docs.google.com/spreadsheets/d/19Zcva_Y6zevuZD4Yi1mEeMVUK2_l_sDvMY2qpY4x9iI/edit#gid=0"",""Sheet1!AP""&amp;MATCH(B3,Sheet1!$B$1:$B$17,0)&amp; "":AP""&amp;MATCH(Sheet1!B3,Sheet1!$B$1:$B$17,0))"),"Original")</f>
        <v>Original</v>
      </c>
    </row>
    <row r="4">
      <c r="A4" s="2">
        <f>IFERROR(__xludf.DUMMYFUNCTION("""COMPUTED_VALUE"""),44270.51630275463)</f>
        <v>44270.5163</v>
      </c>
      <c r="B4" s="1">
        <f>IFERROR(__xludf.DUMMYFUNCTION("""COMPUTED_VALUE"""),3.00223234E8)</f>
        <v>300223234</v>
      </c>
      <c r="C4" s="1" t="str">
        <f>IFERROR(__xludf.DUMMYFUNCTION("""COMPUTED_VALUE"""),"Tyson")</f>
        <v>Tyson</v>
      </c>
      <c r="D4" s="1" t="str">
        <f>IFERROR(__xludf.DUMMYFUNCTION("""COMPUTED_VALUE"""),"Mike")</f>
        <v>Mike</v>
      </c>
      <c r="E4" s="1" t="str">
        <f>IFERROR(__xludf.DUMMYFUNCTION("""COMPUTED_VALUE"""),"CEED")</f>
        <v>CEED</v>
      </c>
      <c r="F4" s="1" t="str">
        <f>IFERROR(__xludf.DUMMYFUNCTION("""COMPUTED_VALUE"""),"miketysonhvsahdv12@gmail.com")</f>
        <v>miketysonhvsahdv12@gmail.com</v>
      </c>
      <c r="G4" s="1" t="str">
        <f>IFERROR(__xludf.DUMMYFUNCTION("""COMPUTED_VALUE"""),"613-397-1754")</f>
        <v>613-397-1754</v>
      </c>
      <c r="H4" s="1" t="str">
        <f>IFERROR(__xludf.DUMMYFUNCTION("""COMPUTED_VALUE"""),"Howard Deweer")</f>
        <v>Howard Deweer</v>
      </c>
      <c r="I4" s="1" t="str">
        <f>IFERROR(__xludf.DUMMYFUNCTION("""COMPUTED_VALUE"""),"lagussi00@yahoo.com")</f>
        <v>lagussi00@yahoo.com</v>
      </c>
      <c r="J4" s="1" t="str">
        <f>IFERROR(__xludf.DUMMYFUNCTION("""COMPUTED_VALUE"""),"Étudiant invité/Invited student")</f>
        <v>Étudiant invité/Invited student</v>
      </c>
      <c r="K4" s="1" t="str">
        <f>IFERROR(__xludf.DUMMYFUNCTION("""COMPUTED_VALUE"""),"Non/No")</f>
        <v>Non/No</v>
      </c>
      <c r="L4" s="1" t="str">
        <f>IFERROR(__xludf.DUMMYFUNCTION("""COMPUTED_VALUE"""),"Occasionnel/Occasional")</f>
        <v>Occasionnel/Occasional</v>
      </c>
      <c r="M4" s="3"/>
      <c r="N4" s="3"/>
      <c r="O4" s="3">
        <f>IFERROR(__xludf.DUMMYFUNCTION("""COMPUTED_VALUE"""),44208.0)</f>
        <v>44208</v>
      </c>
      <c r="P4" s="3">
        <f>IFERROR(__xludf.DUMMYFUNCTION("""COMPUTED_VALUE"""),44560.0)</f>
        <v>44560</v>
      </c>
      <c r="Q4" s="1" t="str">
        <f>IFERROR(__xludf.DUMMYFUNCTION("""COMPUTED_VALUE"""),"plus de 36 heures/more then 36 hours")</f>
        <v>plus de 36 heures/more then 36 hours</v>
      </c>
      <c r="R4" s="3">
        <f>IFERROR(__xludf.DUMMYFUNCTION("""COMPUTED_VALUE"""),44264.0)</f>
        <v>44264</v>
      </c>
      <c r="S4" s="1" t="str">
        <f>IFERROR(__xludf.DUMMYFUNCTION("""COMPUTED_VALUE"""),"Oui/Yes")</f>
        <v>Oui/Yes</v>
      </c>
      <c r="T4" s="1" t="str">
        <f>IFERROR(__xludf.DUMMYFUNCTION("""COMPUTED_VALUE"""),"Oui/Yes")</f>
        <v>Oui/Yes</v>
      </c>
      <c r="U4" s="1" t="str">
        <f>IFERROR(__xludf.DUMMYFUNCTION("""COMPUTED_VALUE"""),"Oui/Yes")</f>
        <v>Oui/Yes</v>
      </c>
      <c r="V4" s="1" t="str">
        <f>IFERROR(__xludf.DUMMYFUNCTION("""COMPUTED_VALUE"""),"Oui/Yes")</f>
        <v>Oui/Yes</v>
      </c>
      <c r="W4" s="1" t="str">
        <f>IFERROR(__xludf.DUMMYFUNCTION("""COMPUTED_VALUE"""),"Oui/Yes")</f>
        <v>Oui/Yes</v>
      </c>
      <c r="X4" s="1" t="str">
        <f>IFERROR(__xludf.DUMMYFUNCTION("""COMPUTED_VALUE"""),"Oui/Yes")</f>
        <v>Oui/Yes</v>
      </c>
      <c r="Y4" s="1" t="str">
        <f>IFERROR(__xludf.DUMMYFUNCTION("""COMPUTED_VALUE"""),"Oui/Yes")</f>
        <v>Oui/Yes</v>
      </c>
      <c r="Z4" s="1" t="str">
        <f>IFERROR(__xludf.DUMMYFUNCTION("""COMPUTED_VALUE"""),"Oui/Yes")</f>
        <v>Oui/Yes</v>
      </c>
      <c r="AA4" s="1" t="str">
        <f>IFERROR(__xludf.DUMMYFUNCTION("""COMPUTED_VALUE"""),"SDE 1421")</f>
        <v>SDE 1421</v>
      </c>
      <c r="AB4" s="1" t="str">
        <f>IFERROR(__xludf.DUMMYFUNCTION("""COMPUTED_VALUE"""),"Dépot de clé/Key Deposit, Dépot de carte/Card Deposit")</f>
        <v>Dépot de clé/Key Deposit, Dépot de carte/Card Deposit</v>
      </c>
      <c r="AC4" s="1" t="str">
        <f>IFERROR(__xludf.DUMMYFUNCTION("""COMPUTED_VALUE"""),"JDT 34212")</f>
        <v>JDT 34212</v>
      </c>
      <c r="AD4" s="1" t="str">
        <f>IFERROR(__xludf.DUMMYFUNCTION("""COMPUTED_VALUE"""),"123456TF")</f>
        <v>123456TF</v>
      </c>
      <c r="AE4" s="4" t="str">
        <f>IFERROR(__xludf.DUMMYFUNCTION("""COMPUTED_VALUE"""),"https://drive.google.com/open?id=1vLKe5yKkZMVXlhDwL7N0YPk8509aAmKz")</f>
        <v>https://drive.google.com/open?id=1vLKe5yKkZMVXlhDwL7N0YPk8509aAmKz</v>
      </c>
      <c r="AF4" s="4" t="str">
        <f>IFERROR(__xludf.DUMMYFUNCTION("""COMPUTED_VALUE"""),"https://drive.google.com/open?id=1FxAHoVUjefsW25u7htXGRGxyE-g3fZrf")</f>
        <v>https://drive.google.com/open?id=1FxAHoVUjefsW25u7htXGRGxyE-g3fZrf</v>
      </c>
      <c r="AG4" s="4" t="str">
        <f>IFERROR(__xludf.DUMMYFUNCTION("""COMPUTED_VALUE"""),"https://drive.google.com/open?id=1jLqbPf7KD5qqdKZN_iDcNkx7GHSnk-Bc")</f>
        <v>https://drive.google.com/open?id=1jLqbPf7KD5qqdKZN_iDcNkx7GHSnk-Bc</v>
      </c>
      <c r="AH4" s="4" t="str">
        <f>IFERROR(__xludf.DUMMYFUNCTION("""COMPUTED_VALUE"""),"https://drive.google.com/open?id=1ZA-v6Nd9CLyPUAFaY_pzEb9jLsypa7jR")</f>
        <v>https://drive.google.com/open?id=1ZA-v6Nd9CLyPUAFaY_pzEb9jLsypa7jR</v>
      </c>
      <c r="AI4" s="4" t="str">
        <f>IFERROR(__xludf.DUMMYFUNCTION("""COMPUTED_VALUE"""),"https://drive.google.com/open?id=16yGv4cdnHA6dz1u1sZzvvkB0Te2gjMc8")</f>
        <v>https://drive.google.com/open?id=16yGv4cdnHA6dz1u1sZzvvkB0Te2gjMc8</v>
      </c>
      <c r="AJ4" s="4" t="str">
        <f>IFERROR(__xludf.DUMMYFUNCTION("""COMPUTED_VALUE"""),"https://drive.google.com/open?id=12UV0gDlK-ymgz49BWLWL_lsTRjtFazK6")</f>
        <v>https://drive.google.com/open?id=12UV0gDlK-ymgz49BWLWL_lsTRjtFazK6</v>
      </c>
      <c r="AK4" s="4" t="str">
        <f>IFERROR(__xludf.DUMMYFUNCTION("""COMPUTED_VALUE"""),"https://drive.google.com/open?id=1xsZS_-gZyu_oyDMrLedxb3ALz3C7VLtf")</f>
        <v>https://drive.google.com/open?id=1xsZS_-gZyu_oyDMrLedxb3ALz3C7VLtf</v>
      </c>
      <c r="AL4" s="4" t="str">
        <f>IFERROR(__xludf.DUMMYFUNCTION("""COMPUTED_VALUE"""),"https://drive.google.com/open?id=1v9IYI2lo2DRwHnNRgtHwL82MdGfIZthi")</f>
        <v>https://drive.google.com/open?id=1v9IYI2lo2DRwHnNRgtHwL82MdGfIZthi</v>
      </c>
      <c r="AM4" s="4" t="str">
        <f>IFERROR(__xludf.DUMMYFUNCTION("""COMPUTED_VALUE"""),"https://drive.google.com/open?id=1Te6mTRT94F4K-3UHXmh_dUP-XKDloqOS")</f>
        <v>https://drive.google.com/open?id=1Te6mTRT94F4K-3UHXmh_dUP-XKDloqOS</v>
      </c>
      <c r="AN4" s="1" t="str">
        <f>IFERROR(__xludf.DUMMYFUNCTION("""COMPUTED_VALUE"""),"3/15/2021 12:37:06, email sent from kharb044@uottawa.ca to lagussi00@yahoo.com")</f>
        <v>3/15/2021 12:37:06, email sent from kharb044@uottawa.ca to lagussi00@yahoo.com</v>
      </c>
      <c r="AO4" s="1" t="str">
        <f>IFERROR(__xludf.DUMMYFUNCTION("""COMPUTED_VALUE"""),"N")</f>
        <v>N</v>
      </c>
      <c r="AP4" s="5" t="s">
        <v>2</v>
      </c>
      <c r="AQ4" s="1" t="str">
        <f>IFERROR(__xludf.DUMMYFUNCTION("IMPORTRANGE(""https://docs.google.com/spreadsheets/d/19Zcva_Y6zevuZD4Yi1mEeMVUK2_l_sDvMY2qpY4x9iI/edit#gid=0"",""Sheet1!AP""&amp;MATCH(B4,Sheet1!$B$1:$B$17,0)&amp; "":AP""&amp;MATCH(Sheet1!B4,Sheet1!$B$1:$B$17,0))"),"R")</f>
        <v>R</v>
      </c>
    </row>
    <row r="5">
      <c r="A5" s="2">
        <f>IFERROR(__xludf.DUMMYFUNCTION("""COMPUTED_VALUE"""),44270.52043958333)</f>
        <v>44270.52044</v>
      </c>
      <c r="B5" s="1">
        <f>IFERROR(__xludf.DUMMYFUNCTION("""COMPUTED_VALUE"""),3.45345345E8)</f>
        <v>345345345</v>
      </c>
      <c r="C5" s="1" t="str">
        <f>IFERROR(__xludf.DUMMYFUNCTION("""COMPUTED_VALUE"""),"bob")</f>
        <v>bob</v>
      </c>
      <c r="D5" s="1" t="str">
        <f>IFERROR(__xludf.DUMMYFUNCTION("""COMPUTED_VALUE"""),"bobibob")</f>
        <v>bobibob</v>
      </c>
      <c r="E5" s="1" t="str">
        <f>IFERROR(__xludf.DUMMYFUNCTION("""COMPUTED_VALUE"""),"CEED")</f>
        <v>CEED</v>
      </c>
      <c r="F5" s="1" t="str">
        <f>IFERROR(__xludf.DUMMYFUNCTION("""COMPUTED_VALUE"""),"lkana074@uottawa.ca")</f>
        <v>lkana074@uottawa.ca</v>
      </c>
      <c r="G5" s="1" t="str">
        <f>IFERROR(__xludf.DUMMYFUNCTION("""COMPUTED_VALUE"""),"234234234")</f>
        <v>234234234</v>
      </c>
      <c r="H5" s="1" t="str">
        <f>IFERROR(__xludf.DUMMYFUNCTION("""COMPUTED_VALUE"""),"123go")</f>
        <v>123go</v>
      </c>
      <c r="I5" s="1" t="str">
        <f>IFERROR(__xludf.DUMMYFUNCTION("""COMPUTED_VALUE"""),"bob@outlookc.pm")</f>
        <v>bob@outlookc.pm</v>
      </c>
      <c r="J5" s="1" t="str">
        <f>IFERROR(__xludf.DUMMYFUNCTION("""COMPUTED_VALUE"""),"Employé de uOttawa/uOttawa employee")</f>
        <v>Employé de uOttawa/uOttawa employee</v>
      </c>
      <c r="K5" s="1" t="str">
        <f>IFERROR(__xludf.DUMMYFUNCTION("""COMPUTED_VALUE"""),"Oui/Yes")</f>
        <v>Oui/Yes</v>
      </c>
      <c r="L5" s="1" t="str">
        <f>IFERROR(__xludf.DUMMYFUNCTION("""COMPUTED_VALUE"""),"Temps plein/Full Time")</f>
        <v>Temps plein/Full Time</v>
      </c>
      <c r="M5" s="3">
        <f>IFERROR(__xludf.DUMMYFUNCTION("""COMPUTED_VALUE"""),44265.0)</f>
        <v>44265</v>
      </c>
      <c r="N5" s="3">
        <f>IFERROR(__xludf.DUMMYFUNCTION("""COMPUTED_VALUE"""),44279.0)</f>
        <v>44279</v>
      </c>
      <c r="O5" s="3"/>
      <c r="P5" s="3"/>
      <c r="Q5" s="1"/>
      <c r="R5" s="3">
        <f>IFERROR(__xludf.DUMMYFUNCTION("""COMPUTED_VALUE"""),46466.0)</f>
        <v>46466</v>
      </c>
      <c r="S5" s="1" t="str">
        <f>IFERROR(__xludf.DUMMYFUNCTION("""COMPUTED_VALUE"""),"Oui/Yes")</f>
        <v>Oui/Yes</v>
      </c>
      <c r="T5" s="1" t="str">
        <f>IFERROR(__xludf.DUMMYFUNCTION("""COMPUTED_VALUE"""),"Oui/Yes")</f>
        <v>Oui/Yes</v>
      </c>
      <c r="U5" s="1" t="str">
        <f>IFERROR(__xludf.DUMMYFUNCTION("""COMPUTED_VALUE"""),"Oui/Yes")</f>
        <v>Oui/Yes</v>
      </c>
      <c r="V5" s="1" t="str">
        <f>IFERROR(__xludf.DUMMYFUNCTION("""COMPUTED_VALUE"""),"Oui/Yes")</f>
        <v>Oui/Yes</v>
      </c>
      <c r="W5" s="1" t="str">
        <f>IFERROR(__xludf.DUMMYFUNCTION("""COMPUTED_VALUE"""),"Oui/Yes")</f>
        <v>Oui/Yes</v>
      </c>
      <c r="X5" s="1" t="str">
        <f>IFERROR(__xludf.DUMMYFUNCTION("""COMPUTED_VALUE"""),"Oui/Yes")</f>
        <v>Oui/Yes</v>
      </c>
      <c r="Y5" s="1" t="str">
        <f>IFERROR(__xludf.DUMMYFUNCTION("""COMPUTED_VALUE"""),"Oui/Yes")</f>
        <v>Oui/Yes</v>
      </c>
      <c r="Z5" s="1" t="str">
        <f>IFERROR(__xludf.DUMMYFUNCTION("""COMPUTED_VALUE"""),"Oui/Yes")</f>
        <v>Oui/Yes</v>
      </c>
      <c r="AA5" s="1" t="str">
        <f>IFERROR(__xludf.DUMMYFUNCTION("""COMPUTED_VALUE"""),"23")</f>
        <v>23</v>
      </c>
      <c r="AB5" s="1" t="str">
        <f>IFERROR(__xludf.DUMMYFUNCTION("""COMPUTED_VALUE"""),"Dépot de clé/Key Deposit")</f>
        <v>Dépot de clé/Key Deposit</v>
      </c>
      <c r="AC5" s="1"/>
      <c r="AD5" s="1"/>
      <c r="AE5" s="4" t="str">
        <f>IFERROR(__xludf.DUMMYFUNCTION("""COMPUTED_VALUE"""),"https://drive.google.com/open?id=1d93lcHfMVRtixl-yfpbvrsMLa5C2l7S2")</f>
        <v>https://drive.google.com/open?id=1d93lcHfMVRtixl-yfpbvrsMLa5C2l7S2</v>
      </c>
      <c r="AF5" s="4" t="str">
        <f>IFERROR(__xludf.DUMMYFUNCTION("""COMPUTED_VALUE"""),"https://drive.google.com/open?id=1hwFhHSRV4zQKO3TCoNbwdTuGErYmQn2W")</f>
        <v>https://drive.google.com/open?id=1hwFhHSRV4zQKO3TCoNbwdTuGErYmQn2W</v>
      </c>
      <c r="AG5" s="4" t="str">
        <f>IFERROR(__xludf.DUMMYFUNCTION("""COMPUTED_VALUE"""),"https://drive.google.com/open?id=1XDqDcoSbHRPRjOXMuGVe-Bi7e6DLXFtI")</f>
        <v>https://drive.google.com/open?id=1XDqDcoSbHRPRjOXMuGVe-Bi7e6DLXFtI</v>
      </c>
      <c r="AH5" s="4" t="str">
        <f>IFERROR(__xludf.DUMMYFUNCTION("""COMPUTED_VALUE"""),"https://drive.google.com/open?id=1iU5Dj41Ij3ccqKjwO0zl3-e7QdzObZHK")</f>
        <v>https://drive.google.com/open?id=1iU5Dj41Ij3ccqKjwO0zl3-e7QdzObZHK</v>
      </c>
      <c r="AI5" s="4" t="str">
        <f>IFERROR(__xludf.DUMMYFUNCTION("""COMPUTED_VALUE"""),"https://drive.google.com/open?id=1PIXggpOdTdI5CidPLMSjskbrhzb7wgKj")</f>
        <v>https://drive.google.com/open?id=1PIXggpOdTdI5CidPLMSjskbrhzb7wgKj</v>
      </c>
      <c r="AJ5" s="4" t="str">
        <f>IFERROR(__xludf.DUMMYFUNCTION("""COMPUTED_VALUE"""),"https://drive.google.com/open?id=1pU0keh8hGWyBnW_Mpgb88Z30He506tAg")</f>
        <v>https://drive.google.com/open?id=1pU0keh8hGWyBnW_Mpgb88Z30He506tAg</v>
      </c>
      <c r="AK5" s="4" t="str">
        <f>IFERROR(__xludf.DUMMYFUNCTION("""COMPUTED_VALUE"""),"https://drive.google.com/open?id=1gAp4TB4_GZI1oLFI7yTfAK-Cvb_7LQoY")</f>
        <v>https://drive.google.com/open?id=1gAp4TB4_GZI1oLFI7yTfAK-Cvb_7LQoY</v>
      </c>
      <c r="AL5" s="4" t="str">
        <f>IFERROR(__xludf.DUMMYFUNCTION("""COMPUTED_VALUE"""),"https://drive.google.com/open?id=1a8epqlLNVI-eMCDkZnV_8WGhn61w-Ljd")</f>
        <v>https://drive.google.com/open?id=1a8epqlLNVI-eMCDkZnV_8WGhn61w-Ljd</v>
      </c>
      <c r="AM5" s="4" t="str">
        <f>IFERROR(__xludf.DUMMYFUNCTION("""COMPUTED_VALUE"""),"https://drive.google.com/open?id=19twRaPaKLqYlsaV07r6FLVIkgD7ZWi-W")</f>
        <v>https://drive.google.com/open?id=19twRaPaKLqYlsaV07r6FLVIkgD7ZWi-W</v>
      </c>
      <c r="AN5" s="1" t="str">
        <f>IFERROR(__xludf.DUMMYFUNCTION("""COMPUTED_VALUE"""),"3/15/2021 12:37:08, email sent from kharb044@uottawa.ca to bob@outlookc.pm")</f>
        <v>3/15/2021 12:37:08, email sent from kharb044@uottawa.ca to bob@outlookc.pm</v>
      </c>
      <c r="AO5" s="1" t="str">
        <f>IFERROR(__xludf.DUMMYFUNCTION("""COMPUTED_VALUE"""),"N")</f>
        <v>N</v>
      </c>
      <c r="AP5" s="5" t="s">
        <v>3</v>
      </c>
      <c r="AQ5" s="1" t="str">
        <f>IFERROR(__xludf.DUMMYFUNCTION("IMPORTRANGE(""https://docs.google.com/spreadsheets/d/19Zcva_Y6zevuZD4Yi1mEeMVUK2_l_sDvMY2qpY4x9iI/edit#gid=0"",""Sheet1!AP""&amp;MATCH(B5,Sheet1!$B$1:$B$17,0)&amp; "":AP""&amp;MATCH(Sheet1!B5,Sheet1!$B$1:$B$17,0))"),"A")</f>
        <v>A</v>
      </c>
    </row>
    <row r="9">
      <c r="W9" s="6"/>
    </row>
  </sheetData>
  <customSheetViews>
    <customSheetView guid="{E3E01654-0376-44EA-B4AC-6620629DDDD5}" filter="1" showAutoFilter="1">
      <autoFilter ref="$A$1:$AY$1000"/>
    </customSheetView>
    <customSheetView guid="{E3E01654-0376-44EA-B4AC-6620629DDDD5}" filter="1" showAutoFilter="1">
      <autoFilter ref="$A$1:$AY$1000"/>
    </customSheetView>
  </customSheetViews>
  <hyperlinks>
    <hyperlink r:id="rId1" ref="AE2"/>
    <hyperlink r:id="rId2" ref="AF2"/>
    <hyperlink r:id="rId3" ref="AG2"/>
    <hyperlink r:id="rId4" ref="AH2"/>
    <hyperlink r:id="rId5" ref="AI2"/>
    <hyperlink r:id="rId6" ref="AJ2"/>
    <hyperlink r:id="rId7" ref="AK2"/>
    <hyperlink r:id="rId8" ref="AL2"/>
    <hyperlink r:id="rId9" ref="AM2"/>
    <hyperlink r:id="rId10" ref="AE3"/>
    <hyperlink r:id="rId11" ref="AF3"/>
    <hyperlink r:id="rId12" ref="AG3"/>
    <hyperlink r:id="rId13" ref="AH3"/>
    <hyperlink r:id="rId14" ref="AI3"/>
    <hyperlink r:id="rId15" ref="AJ3"/>
    <hyperlink r:id="rId16" ref="AK3"/>
    <hyperlink r:id="rId17" ref="AL3"/>
    <hyperlink r:id="rId18" ref="AM3"/>
    <hyperlink r:id="rId19" ref="AE4"/>
    <hyperlink r:id="rId20" ref="AF4"/>
    <hyperlink r:id="rId21" ref="AG4"/>
    <hyperlink r:id="rId22" ref="AH4"/>
    <hyperlink r:id="rId23" ref="AI4"/>
    <hyperlink r:id="rId24" ref="AJ4"/>
    <hyperlink r:id="rId25" ref="AK4"/>
    <hyperlink r:id="rId26" ref="AL4"/>
    <hyperlink r:id="rId27" ref="AM4"/>
    <hyperlink r:id="rId28" ref="AE5"/>
    <hyperlink r:id="rId29" ref="AF5"/>
    <hyperlink r:id="rId30" ref="AG5"/>
    <hyperlink r:id="rId31" ref="AH5"/>
    <hyperlink r:id="rId32" ref="AI5"/>
    <hyperlink r:id="rId33" ref="AJ5"/>
    <hyperlink r:id="rId34" ref="AK5"/>
    <hyperlink r:id="rId35" ref="AL5"/>
    <hyperlink r:id="rId36" ref="AM5"/>
  </hyperlinks>
  <drawing r:id="rId37"/>
  <tableParts count="1">
    <tablePart r:id="rId39"/>
  </tableParts>
</worksheet>
</file>